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115" windowHeight="11325" activeTab="0"/>
  </bookViews>
  <sheets>
    <sheet name="iulie-oct2023" sheetId="1" r:id="rId1"/>
    <sheet name="var 1" sheetId="2" state="hidden" r:id="rId2"/>
    <sheet name="Sheet3" sheetId="3" r:id="rId3"/>
  </sheets>
  <definedNames>
    <definedName name="_xlnm.Print_Area" localSheetId="0">'iulie-oct2023'!$A$1:$Q$32</definedName>
  </definedNames>
  <calcPr fullCalcOnLoad="1"/>
</workbook>
</file>

<file path=xl/sharedStrings.xml><?xml version="1.0" encoding="utf-8"?>
<sst xmlns="http://schemas.openxmlformats.org/spreadsheetml/2006/main" count="86" uniqueCount="52">
  <si>
    <t>Spitalul</t>
  </si>
  <si>
    <t>S(C) de contractat iulie -oct</t>
  </si>
  <si>
    <t>medie lunara</t>
  </si>
  <si>
    <t>Spitalul Judetean Tgv</t>
  </si>
  <si>
    <t>Spital Pucioasa</t>
  </si>
  <si>
    <t>Spital Gaesti</t>
  </si>
  <si>
    <t>Spital Moreni</t>
  </si>
  <si>
    <t>total spitale</t>
  </si>
  <si>
    <t>DRG cu P</t>
  </si>
  <si>
    <t>cronici</t>
  </si>
  <si>
    <t>paleative</t>
  </si>
  <si>
    <t>sz</t>
  </si>
  <si>
    <t>total Spital Judetean TGV.</t>
  </si>
  <si>
    <t xml:space="preserve">DRG </t>
  </si>
  <si>
    <t>total Sp. Pucioasa</t>
  </si>
  <si>
    <t>total Sp. Gaesti</t>
  </si>
  <si>
    <t>total Sp. Moreni</t>
  </si>
  <si>
    <r>
      <t xml:space="preserve">suma de contractat iulie -oct </t>
    </r>
    <r>
      <rPr>
        <b/>
        <sz val="10"/>
        <rFont val="Arial"/>
        <family val="2"/>
      </rPr>
      <t>(%=61,89280245) /3,84 luni</t>
    </r>
  </si>
  <si>
    <t>medie lunara (3,84 luni)</t>
  </si>
  <si>
    <t>medie lunara (4 luni)</t>
  </si>
  <si>
    <t>4 luni</t>
  </si>
  <si>
    <t>nr cazuri/luna</t>
  </si>
  <si>
    <t>nr cazuri cap max./luna</t>
  </si>
  <si>
    <t>medie lunata 3,84 luni</t>
  </si>
  <si>
    <t>luna IULIE</t>
  </si>
  <si>
    <t>numar cazuri</t>
  </si>
  <si>
    <t>valoare</t>
  </si>
  <si>
    <t>AUGUST</t>
  </si>
  <si>
    <t>SEPTEMBRIE</t>
  </si>
  <si>
    <t>TRIMESTRUL III</t>
  </si>
  <si>
    <t>OCTOMBRIE</t>
  </si>
  <si>
    <t>SEMESTRUL I</t>
  </si>
  <si>
    <t>ANUL 2020</t>
  </si>
  <si>
    <t>Repartizare suma de contractat S(C)  pe spitale iulie-octombrie 2020</t>
  </si>
  <si>
    <t xml:space="preserve"> </t>
  </si>
  <si>
    <t>DRG (cu P)</t>
  </si>
  <si>
    <t>medie lunara cu incadrare in buget</t>
  </si>
  <si>
    <t>Repartizare suma de contractat S(C)  pe spitale iulie-octombrie 2023</t>
  </si>
  <si>
    <t>buget 2023</t>
  </si>
  <si>
    <t>serv spitalicesti</t>
  </si>
  <si>
    <t>luni</t>
  </si>
  <si>
    <t>26.06.2023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</si>
  <si>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</si>
  <si>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contract sem I reconfigurat</t>
  </si>
  <si>
    <t>medie semestrul I reconfig.</t>
  </si>
  <si>
    <t>S(C) posibil de contractat iulie-dec cap max</t>
  </si>
  <si>
    <t>medie lunara posibil de contractat cap max</t>
  </si>
  <si>
    <t>paleative (zile spitalizare)</t>
  </si>
  <si>
    <t>nr cazuri/luna (P)</t>
  </si>
  <si>
    <t>ANUL 2023</t>
  </si>
  <si>
    <t>142.272.990</t>
  </si>
  <si>
    <t>fila buget P5444/21.06.2023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</si>
</sst>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0"/>
    <numFmt numFmtId="173" formatCode="#,##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3" fontId="0" fillId="0" borderId="0" xfId="0" applyNumberFormat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6" borderId="10" xfId="0" applyFon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4" fontId="1" fillId="6" borderId="10" xfId="0" applyNumberFormat="1" applyFont="1" applyFill="1" applyBorder="1" applyAlignment="1">
      <alignment/>
    </xf>
    <xf numFmtId="4" fontId="0" fillId="6" borderId="10" xfId="0" applyNumberFormat="1" applyFill="1" applyBorder="1" applyAlignment="1">
      <alignment/>
    </xf>
    <xf numFmtId="4" fontId="1" fillId="6" borderId="10" xfId="0" applyNumberFormat="1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3" fontId="0" fillId="6" borderId="10" xfId="0" applyNumberFormat="1" applyFill="1" applyBorder="1" applyAlignment="1">
      <alignment/>
    </xf>
    <xf numFmtId="4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4" fontId="1" fillId="10" borderId="10" xfId="0" applyNumberFormat="1" applyFon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0" fillId="36" borderId="0" xfId="0" applyFill="1" applyAlignment="1">
      <alignment/>
    </xf>
    <xf numFmtId="9" fontId="1" fillId="0" borderId="12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36" borderId="10" xfId="0" applyFill="1" applyBorder="1" applyAlignment="1">
      <alignment wrapText="1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wrapText="1"/>
    </xf>
    <xf numFmtId="4" fontId="1" fillId="36" borderId="10" xfId="0" applyNumberFormat="1" applyFont="1" applyFill="1" applyBorder="1" applyAlignment="1">
      <alignment wrapText="1"/>
    </xf>
    <xf numFmtId="4" fontId="1" fillId="36" borderId="10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3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2.00390625" style="0" customWidth="1"/>
    <col min="2" max="2" width="14.57421875" style="0" customWidth="1"/>
    <col min="3" max="3" width="13.57421875" style="0" customWidth="1"/>
    <col min="4" max="4" width="16.28125" style="0" customWidth="1"/>
    <col min="5" max="5" width="13.57421875" style="0" customWidth="1"/>
    <col min="6" max="6" width="13.8515625" style="0" customWidth="1"/>
    <col min="7" max="7" width="14.140625" style="0" customWidth="1"/>
    <col min="8" max="8" width="8.7109375" style="0" customWidth="1"/>
    <col min="9" max="9" width="10.140625" style="0" customWidth="1"/>
    <col min="10" max="10" width="12.8515625" style="0" hidden="1" customWidth="1"/>
    <col min="11" max="11" width="0" style="0" hidden="1" customWidth="1"/>
    <col min="12" max="12" width="15.57421875" style="0" customWidth="1"/>
    <col min="13" max="13" width="14.00390625" style="0" customWidth="1"/>
    <col min="14" max="14" width="13.421875" style="0" customWidth="1"/>
    <col min="15" max="15" width="15.57421875" style="0" customWidth="1"/>
  </cols>
  <sheetData>
    <row r="1" spans="1:13" ht="12.75">
      <c r="A1" s="3" t="s">
        <v>37</v>
      </c>
      <c r="B1" s="3"/>
      <c r="C1" s="3"/>
      <c r="D1" s="3"/>
      <c r="E1" s="3"/>
      <c r="M1" t="s">
        <v>34</v>
      </c>
    </row>
    <row r="2" spans="1:11" ht="12.75">
      <c r="A2" s="39" t="s">
        <v>51</v>
      </c>
      <c r="H2" s="33"/>
      <c r="J2" s="70" t="s">
        <v>23</v>
      </c>
      <c r="K2" s="70"/>
    </row>
    <row r="3" spans="1:15" s="39" customFormat="1" ht="51">
      <c r="A3" s="41" t="s">
        <v>0</v>
      </c>
      <c r="B3" s="42" t="s">
        <v>43</v>
      </c>
      <c r="C3" s="42" t="s">
        <v>44</v>
      </c>
      <c r="D3" s="40" t="s">
        <v>45</v>
      </c>
      <c r="E3" s="40" t="s">
        <v>46</v>
      </c>
      <c r="F3" s="46" t="s">
        <v>1</v>
      </c>
      <c r="G3" s="46" t="s">
        <v>36</v>
      </c>
      <c r="H3" s="43" t="s">
        <v>48</v>
      </c>
      <c r="I3" s="40" t="s">
        <v>22</v>
      </c>
      <c r="J3" s="42" t="s">
        <v>18</v>
      </c>
      <c r="K3" s="41"/>
      <c r="L3" s="41" t="s">
        <v>29</v>
      </c>
      <c r="M3" s="41" t="s">
        <v>30</v>
      </c>
      <c r="N3" s="44" t="s">
        <v>31</v>
      </c>
      <c r="O3" s="60" t="s">
        <v>49</v>
      </c>
    </row>
    <row r="4" spans="1:15" ht="12.75">
      <c r="A4" s="41" t="s">
        <v>3</v>
      </c>
      <c r="B4" s="1"/>
      <c r="C4" s="2"/>
      <c r="D4" s="2"/>
      <c r="E4" s="61"/>
      <c r="F4" s="47"/>
      <c r="G4" s="47"/>
      <c r="H4" s="5"/>
      <c r="I4" s="64"/>
      <c r="J4" s="4"/>
      <c r="K4" s="5"/>
      <c r="L4" s="1"/>
      <c r="M4" s="1"/>
      <c r="N4" s="1"/>
      <c r="O4" s="1"/>
    </row>
    <row r="5" spans="1:15" ht="12.75">
      <c r="A5" s="1" t="s">
        <v>35</v>
      </c>
      <c r="B5" s="5">
        <f>40440613.74-948501.44+647246.67</f>
        <v>40139358.970000006</v>
      </c>
      <c r="C5" s="5"/>
      <c r="D5" s="5">
        <v>46213887.14</v>
      </c>
      <c r="E5" s="62"/>
      <c r="F5" s="47"/>
      <c r="G5" s="47"/>
      <c r="H5" s="45">
        <v>2990</v>
      </c>
      <c r="I5" s="65"/>
      <c r="J5" s="5"/>
      <c r="K5" s="5"/>
      <c r="L5" s="5"/>
      <c r="M5" s="5"/>
      <c r="N5" s="5"/>
      <c r="O5" s="1"/>
    </row>
    <row r="6" spans="1:15" ht="12.75">
      <c r="A6" s="1" t="s">
        <v>9</v>
      </c>
      <c r="B6" s="5">
        <f>13599754.73-574607.69-76987.46</f>
        <v>12948159.58</v>
      </c>
      <c r="C6" s="5"/>
      <c r="D6" s="5">
        <v>22674394</v>
      </c>
      <c r="E6" s="62"/>
      <c r="F6" s="47"/>
      <c r="G6" s="47"/>
      <c r="H6" s="1"/>
      <c r="I6" s="45">
        <v>553</v>
      </c>
      <c r="J6" s="5"/>
      <c r="K6" s="5"/>
      <c r="L6" s="5"/>
      <c r="M6" s="5"/>
      <c r="N6" s="5"/>
      <c r="O6" s="1"/>
    </row>
    <row r="7" spans="1:15" ht="12.75">
      <c r="A7" s="67" t="s">
        <v>47</v>
      </c>
      <c r="B7" s="5">
        <f>563090.66-22120.28</f>
        <v>540970.38</v>
      </c>
      <c r="C7" s="5"/>
      <c r="D7" s="5">
        <v>655392</v>
      </c>
      <c r="E7" s="62"/>
      <c r="F7" s="47"/>
      <c r="G7" s="47"/>
      <c r="H7" s="1"/>
      <c r="I7" s="45">
        <v>400</v>
      </c>
      <c r="J7" s="5"/>
      <c r="K7" s="5"/>
      <c r="L7" s="5"/>
      <c r="M7" s="5"/>
      <c r="N7" s="5"/>
      <c r="O7" s="1"/>
    </row>
    <row r="8" spans="1:15" ht="12.75">
      <c r="A8" s="1" t="s">
        <v>11</v>
      </c>
      <c r="B8" s="5">
        <f>2140567.47+76268.88-24772.38</f>
        <v>2192063.97</v>
      </c>
      <c r="C8" s="5"/>
      <c r="D8" s="5">
        <f>2140567+76270</f>
        <v>2216837</v>
      </c>
      <c r="E8" s="62"/>
      <c r="F8" s="47"/>
      <c r="G8" s="47"/>
      <c r="H8" s="15"/>
      <c r="I8" s="65"/>
      <c r="J8" s="5"/>
      <c r="K8" s="5"/>
      <c r="L8" s="5"/>
      <c r="M8" s="5"/>
      <c r="N8" s="5"/>
      <c r="O8" s="1"/>
    </row>
    <row r="9" spans="1:15" ht="25.5">
      <c r="A9" s="51" t="s">
        <v>12</v>
      </c>
      <c r="B9" s="50">
        <f>SUM(B5:B8)</f>
        <v>55820552.900000006</v>
      </c>
      <c r="C9" s="48">
        <f>B9/6</f>
        <v>9303425.483333334</v>
      </c>
      <c r="D9" s="48">
        <f>SUM(D5:D8)</f>
        <v>71760510.14</v>
      </c>
      <c r="E9" s="48">
        <v>11960085.19</v>
      </c>
      <c r="F9" s="50">
        <f>G9*F27</f>
        <v>43333685.90421195</v>
      </c>
      <c r="G9" s="48">
        <f>E9*G26/100</f>
        <v>11279023.86409767</v>
      </c>
      <c r="H9" s="52"/>
      <c r="I9" s="48"/>
      <c r="J9" s="48"/>
      <c r="K9" s="49"/>
      <c r="L9" s="48">
        <f>G9*3</f>
        <v>33837071.59229301</v>
      </c>
      <c r="M9" s="53">
        <f>F9-L9</f>
        <v>9496614.311918944</v>
      </c>
      <c r="N9" s="53">
        <v>55820552.9</v>
      </c>
      <c r="O9" s="48">
        <f>L9+M9+N9</f>
        <v>99154238.80421194</v>
      </c>
    </row>
    <row r="10" spans="1:15" ht="12.75">
      <c r="A10" s="42" t="s">
        <v>4</v>
      </c>
      <c r="B10" s="4"/>
      <c r="C10" s="4"/>
      <c r="D10" s="4"/>
      <c r="E10" s="63"/>
      <c r="F10" s="49"/>
      <c r="G10" s="49"/>
      <c r="H10" s="15"/>
      <c r="I10" s="65"/>
      <c r="J10" s="5"/>
      <c r="K10" s="5"/>
      <c r="L10" s="8"/>
      <c r="M10" s="35"/>
      <c r="N10" s="35"/>
      <c r="O10" s="7"/>
    </row>
    <row r="11" spans="1:15" ht="12.75">
      <c r="A11" s="1" t="s">
        <v>13</v>
      </c>
      <c r="B11" s="5">
        <f>6962924.66-465438.37-113896.3</f>
        <v>6383589.99</v>
      </c>
      <c r="C11" s="5"/>
      <c r="D11" s="5">
        <v>9080562.61</v>
      </c>
      <c r="E11" s="62"/>
      <c r="F11" s="49"/>
      <c r="G11" s="49"/>
      <c r="H11" s="45"/>
      <c r="I11" s="65">
        <v>636</v>
      </c>
      <c r="J11" s="5"/>
      <c r="K11" s="15"/>
      <c r="L11" s="8"/>
      <c r="M11" s="35"/>
      <c r="N11" s="35"/>
      <c r="O11" s="7"/>
    </row>
    <row r="12" spans="1:15" ht="12.75">
      <c r="A12" s="1" t="s">
        <v>9</v>
      </c>
      <c r="B12" s="5">
        <f>1551553.86-118978.51-73485.9</f>
        <v>1359089.4500000002</v>
      </c>
      <c r="C12" s="5"/>
      <c r="D12" s="5">
        <v>2083268.16</v>
      </c>
      <c r="E12" s="62"/>
      <c r="F12" s="49"/>
      <c r="G12" s="49"/>
      <c r="H12" s="45"/>
      <c r="I12" s="65">
        <v>131</v>
      </c>
      <c r="J12" s="5"/>
      <c r="K12" s="15"/>
      <c r="L12" s="8"/>
      <c r="M12" s="35"/>
      <c r="N12" s="35"/>
      <c r="O12" s="7"/>
    </row>
    <row r="13" spans="1:15" ht="12.75">
      <c r="A13" s="1" t="s">
        <v>11</v>
      </c>
      <c r="B13" s="5">
        <f>934796</f>
        <v>934796</v>
      </c>
      <c r="C13" s="5"/>
      <c r="D13" s="5">
        <v>934796</v>
      </c>
      <c r="E13" s="62"/>
      <c r="F13" s="49"/>
      <c r="G13" s="49"/>
      <c r="H13" s="15"/>
      <c r="I13" s="65"/>
      <c r="J13" s="5"/>
      <c r="K13" s="15"/>
      <c r="L13" s="8"/>
      <c r="M13" s="35"/>
      <c r="N13" s="35"/>
      <c r="O13" s="7"/>
    </row>
    <row r="14" spans="1:15" ht="12.75">
      <c r="A14" s="54" t="s">
        <v>14</v>
      </c>
      <c r="B14" s="48">
        <f>SUM(B11:B13)</f>
        <v>8677475.440000001</v>
      </c>
      <c r="C14" s="48">
        <f>B14/6</f>
        <v>1446245.906666667</v>
      </c>
      <c r="D14" s="48">
        <f>SUM(D11:D13)</f>
        <v>12098626.77</v>
      </c>
      <c r="E14" s="48">
        <v>2016437.79</v>
      </c>
      <c r="F14" s="48">
        <f>G14*F27</f>
        <v>7305941.425091414</v>
      </c>
      <c r="G14" s="48">
        <f>E14*G26/100</f>
        <v>1901612.7053086958</v>
      </c>
      <c r="H14" s="52"/>
      <c r="I14" s="48"/>
      <c r="J14" s="48"/>
      <c r="K14" s="52"/>
      <c r="L14" s="48">
        <f>G14*3</f>
        <v>5704838.115926087</v>
      </c>
      <c r="M14" s="53">
        <f>F14-L14</f>
        <v>1601103.3091653269</v>
      </c>
      <c r="N14" s="53">
        <v>8677475.44</v>
      </c>
      <c r="O14" s="48">
        <f>L14+M14+N14</f>
        <v>15983416.865091413</v>
      </c>
    </row>
    <row r="15" spans="1:15" ht="12.75">
      <c r="A15" s="41" t="s">
        <v>5</v>
      </c>
      <c r="B15" s="5"/>
      <c r="C15" s="5"/>
      <c r="D15" s="5"/>
      <c r="E15" s="62"/>
      <c r="F15" s="49"/>
      <c r="G15" s="49"/>
      <c r="H15" s="15"/>
      <c r="I15" s="65"/>
      <c r="J15" s="5"/>
      <c r="K15" s="15"/>
      <c r="L15" s="8"/>
      <c r="M15" s="35"/>
      <c r="N15" s="35"/>
      <c r="O15" s="7"/>
    </row>
    <row r="16" spans="1:15" ht="12.75">
      <c r="A16" s="1" t="s">
        <v>13</v>
      </c>
      <c r="B16" s="5">
        <f>4798062.99-143923.6-66072.5</f>
        <v>4588066.890000001</v>
      </c>
      <c r="C16" s="5"/>
      <c r="D16" s="5">
        <v>6307837.82</v>
      </c>
      <c r="E16" s="62"/>
      <c r="F16" s="49"/>
      <c r="G16" s="49"/>
      <c r="H16" s="45"/>
      <c r="I16" s="65">
        <v>498</v>
      </c>
      <c r="J16" s="5"/>
      <c r="K16" s="15"/>
      <c r="L16" s="8"/>
      <c r="M16" s="35"/>
      <c r="N16" s="35"/>
      <c r="O16" s="7"/>
    </row>
    <row r="17" spans="1:15" ht="12.75">
      <c r="A17" s="1" t="s">
        <v>11</v>
      </c>
      <c r="B17" s="5">
        <f>476682-16081-5407</f>
        <v>455194</v>
      </c>
      <c r="C17" s="5"/>
      <c r="D17" s="5">
        <v>476682</v>
      </c>
      <c r="E17" s="62"/>
      <c r="F17" s="49"/>
      <c r="G17" s="49"/>
      <c r="H17" s="15"/>
      <c r="I17" s="65"/>
      <c r="J17" s="5"/>
      <c r="K17" s="15"/>
      <c r="L17" s="8"/>
      <c r="M17" s="35"/>
      <c r="N17" s="35"/>
      <c r="O17" s="7"/>
    </row>
    <row r="18" spans="1:15" ht="12.75">
      <c r="A18" s="54" t="s">
        <v>15</v>
      </c>
      <c r="B18" s="48">
        <f>SUM(B16:B17)</f>
        <v>5043260.890000001</v>
      </c>
      <c r="C18" s="48">
        <f>B18/6</f>
        <v>840543.4816666668</v>
      </c>
      <c r="D18" s="48">
        <f>SUM(D16:D17)</f>
        <v>6784519.82</v>
      </c>
      <c r="E18" s="48">
        <v>1130753.3</v>
      </c>
      <c r="F18" s="48">
        <f>G18*F27</f>
        <v>4096936.397938078</v>
      </c>
      <c r="G18" s="48">
        <f>E18*G26/100</f>
        <v>1066363.0946183244</v>
      </c>
      <c r="H18" s="52"/>
      <c r="I18" s="48"/>
      <c r="J18" s="48"/>
      <c r="K18" s="52"/>
      <c r="L18" s="48">
        <f>G18*3</f>
        <v>3199089.2838549735</v>
      </c>
      <c r="M18" s="53">
        <f>F18-L18</f>
        <v>897847.1140831043</v>
      </c>
      <c r="N18" s="53">
        <v>5043260.89</v>
      </c>
      <c r="O18" s="48">
        <f>L18+M18+N18</f>
        <v>9140197.287938077</v>
      </c>
    </row>
    <row r="19" spans="1:15" ht="12.75">
      <c r="A19" s="41" t="s">
        <v>6</v>
      </c>
      <c r="B19" s="5"/>
      <c r="C19" s="5"/>
      <c r="D19" s="5"/>
      <c r="E19" s="62"/>
      <c r="F19" s="49"/>
      <c r="G19" s="49"/>
      <c r="H19" s="15"/>
      <c r="I19" s="65"/>
      <c r="J19" s="5"/>
      <c r="K19" s="15"/>
      <c r="L19" s="8"/>
      <c r="M19" s="35"/>
      <c r="N19" s="35"/>
      <c r="O19" s="7"/>
    </row>
    <row r="20" spans="1:15" ht="12.75">
      <c r="A20" s="1" t="s">
        <v>13</v>
      </c>
      <c r="B20" s="5">
        <v>5010474.01</v>
      </c>
      <c r="C20" s="5"/>
      <c r="D20" s="5">
        <v>4889669.65</v>
      </c>
      <c r="E20" s="62"/>
      <c r="F20" s="49"/>
      <c r="G20" s="49"/>
      <c r="H20" s="45"/>
      <c r="I20" s="65">
        <v>461</v>
      </c>
      <c r="J20" s="5"/>
      <c r="K20" s="15"/>
      <c r="L20" s="8"/>
      <c r="M20" s="35"/>
      <c r="N20" s="35"/>
      <c r="O20" s="1"/>
    </row>
    <row r="21" spans="1:15" ht="12.75">
      <c r="A21" s="1" t="s">
        <v>9</v>
      </c>
      <c r="B21" s="5">
        <v>1193796.73</v>
      </c>
      <c r="C21" s="5"/>
      <c r="D21" s="5">
        <v>1311800</v>
      </c>
      <c r="E21" s="62"/>
      <c r="F21" s="49"/>
      <c r="G21" s="49"/>
      <c r="H21" s="35"/>
      <c r="I21" s="68">
        <v>84</v>
      </c>
      <c r="J21" s="5"/>
      <c r="K21" s="5"/>
      <c r="L21" s="8"/>
      <c r="M21" s="35"/>
      <c r="N21" s="35"/>
      <c r="O21" s="1"/>
    </row>
    <row r="22" spans="1:15" ht="12.75">
      <c r="A22" s="1" t="s">
        <v>11</v>
      </c>
      <c r="B22" s="5">
        <v>783954</v>
      </c>
      <c r="C22" s="5"/>
      <c r="D22" s="5">
        <v>783954</v>
      </c>
      <c r="E22" s="62"/>
      <c r="F22" s="49"/>
      <c r="G22" s="49"/>
      <c r="H22" s="5"/>
      <c r="I22" s="62"/>
      <c r="J22" s="5"/>
      <c r="K22" s="5"/>
      <c r="L22" s="8"/>
      <c r="M22" s="35"/>
      <c r="N22" s="35"/>
      <c r="O22" s="1"/>
    </row>
    <row r="23" spans="1:15" ht="12.75">
      <c r="A23" s="54" t="s">
        <v>16</v>
      </c>
      <c r="B23" s="48">
        <f>SUM(B20:B22)</f>
        <v>6988224.74</v>
      </c>
      <c r="C23" s="48">
        <f>B23/6</f>
        <v>1164704.1233333333</v>
      </c>
      <c r="D23" s="48">
        <f>SUM(D20:D22)</f>
        <v>6985423.65</v>
      </c>
      <c r="E23" s="48">
        <v>1164237.27</v>
      </c>
      <c r="F23" s="48">
        <f>G23*F27</f>
        <v>4218255.252758547</v>
      </c>
      <c r="G23" s="48">
        <f>E23*G26/100</f>
        <v>1097940.3359753094</v>
      </c>
      <c r="H23" s="49"/>
      <c r="I23" s="49"/>
      <c r="J23" s="48"/>
      <c r="K23" s="49"/>
      <c r="L23" s="48">
        <f>G23*3</f>
        <v>3293821.007925928</v>
      </c>
      <c r="M23" s="53">
        <f>F23-L23</f>
        <v>924434.2448326186</v>
      </c>
      <c r="N23" s="53">
        <v>6988224.58</v>
      </c>
      <c r="O23" s="48">
        <f>L23+M23+N23</f>
        <v>11206479.832758546</v>
      </c>
    </row>
    <row r="24" spans="1:15" ht="12.75">
      <c r="A24" s="55" t="s">
        <v>7</v>
      </c>
      <c r="B24" s="56">
        <f>B9+B14+B18+B23</f>
        <v>76529513.97</v>
      </c>
      <c r="C24" s="56">
        <f>C9+C14+C18+C23</f>
        <v>12754918.995000001</v>
      </c>
      <c r="D24" s="56">
        <f>D9+D14+D18+D23</f>
        <v>97629080.38</v>
      </c>
      <c r="E24" s="56">
        <f>E9+E14+E18+E23</f>
        <v>16271513.55</v>
      </c>
      <c r="F24" s="56">
        <v>58954818.98</v>
      </c>
      <c r="G24" s="56">
        <f>G9+G14+G18+G23</f>
        <v>15344940</v>
      </c>
      <c r="H24" s="57"/>
      <c r="I24" s="57"/>
      <c r="J24" s="56"/>
      <c r="K24" s="57"/>
      <c r="L24" s="56">
        <f>L9+L14+L18+L23</f>
        <v>46034820</v>
      </c>
      <c r="M24" s="56">
        <f>M9+M14+M18+M23</f>
        <v>12919998.979999993</v>
      </c>
      <c r="N24" s="56">
        <f>N9+N14+N18+N23</f>
        <v>76529513.80999999</v>
      </c>
      <c r="O24" s="56">
        <f>O23+O18+O14+O9</f>
        <v>135484332.78999996</v>
      </c>
    </row>
    <row r="25" spans="1:15" ht="12.75">
      <c r="A25" s="34" t="s">
        <v>39</v>
      </c>
      <c r="B25" s="38">
        <f>B24+F24</f>
        <v>135484332.95</v>
      </c>
      <c r="F25" s="6">
        <v>58954818.98</v>
      </c>
      <c r="G25" s="6">
        <v>15344940</v>
      </c>
      <c r="H25" s="6"/>
      <c r="I25" s="32"/>
      <c r="J25" s="6"/>
      <c r="K25" s="6"/>
      <c r="L25" s="22"/>
      <c r="M25" s="37" t="s">
        <v>42</v>
      </c>
      <c r="N25" s="22"/>
      <c r="O25" s="22">
        <v>6788657.05</v>
      </c>
    </row>
    <row r="26" spans="1:15" ht="12.75">
      <c r="A26" s="59">
        <v>0.05</v>
      </c>
      <c r="B26" s="38">
        <v>6788657.05</v>
      </c>
      <c r="F26" s="6"/>
      <c r="G26" s="66">
        <f>G25/E24*100</f>
        <v>94.30554786957725</v>
      </c>
      <c r="H26" s="6"/>
      <c r="I26" s="6"/>
      <c r="J26" s="6"/>
      <c r="K26" s="6"/>
      <c r="O26" s="38">
        <f>SUM(O24:O25)</f>
        <v>142272989.83999997</v>
      </c>
    </row>
    <row r="27" spans="1:15" ht="12.75">
      <c r="A27" s="39" t="s">
        <v>38</v>
      </c>
      <c r="B27" s="69" t="s">
        <v>50</v>
      </c>
      <c r="F27" s="66">
        <f>F25/G25</f>
        <v>3.8419712934687262</v>
      </c>
      <c r="G27" s="38" t="s">
        <v>40</v>
      </c>
      <c r="H27" s="6"/>
      <c r="I27" s="6"/>
      <c r="J27" s="6"/>
      <c r="K27" s="6"/>
      <c r="O27" s="38"/>
    </row>
    <row r="28" spans="6:11" ht="12.75">
      <c r="F28" s="6"/>
      <c r="G28" s="6"/>
      <c r="H28" s="6"/>
      <c r="I28" s="6"/>
      <c r="J28" s="6"/>
      <c r="K28" s="6"/>
    </row>
    <row r="29" spans="6:11" ht="12.75">
      <c r="F29" s="6"/>
      <c r="G29" s="6"/>
      <c r="H29" s="6"/>
      <c r="I29" s="6"/>
      <c r="J29" s="6"/>
      <c r="K29" s="6"/>
    </row>
    <row r="30" spans="6:11" ht="12.75">
      <c r="F30" s="6"/>
      <c r="G30" s="6"/>
      <c r="H30" s="6"/>
      <c r="I30" s="6"/>
      <c r="J30" s="6"/>
      <c r="K30" s="6"/>
    </row>
    <row r="31" ht="12.75">
      <c r="A31" s="36"/>
    </row>
    <row r="32" spans="1:4" ht="12.75">
      <c r="A32" s="36" t="s">
        <v>41</v>
      </c>
      <c r="C32" s="58"/>
      <c r="D32" s="58"/>
    </row>
  </sheetData>
  <sheetProtection/>
  <mergeCells count="1">
    <mergeCell ref="J2:K2"/>
  </mergeCells>
  <printOptions/>
  <pageMargins left="0.2" right="0.19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20.421875" style="0" customWidth="1"/>
    <col min="2" max="2" width="15.7109375" style="0" customWidth="1"/>
    <col min="3" max="3" width="14.7109375" style="0" customWidth="1"/>
    <col min="4" max="4" width="16.7109375" style="0" customWidth="1"/>
    <col min="5" max="5" width="13.28125" style="0" customWidth="1"/>
    <col min="6" max="6" width="10.140625" style="0" bestFit="1" customWidth="1"/>
    <col min="8" max="8" width="12.8515625" style="0" hidden="1" customWidth="1"/>
    <col min="9" max="9" width="0" style="0" hidden="1" customWidth="1"/>
    <col min="10" max="10" width="9.00390625" style="0" customWidth="1"/>
    <col min="11" max="11" width="15.7109375" style="0" customWidth="1"/>
    <col min="12" max="12" width="13.57421875" style="0" customWidth="1"/>
    <col min="13" max="13" width="13.421875" style="0" customWidth="1"/>
    <col min="14" max="14" width="15.57421875" style="0" customWidth="1"/>
    <col min="15" max="15" width="14.00390625" style="0" customWidth="1"/>
    <col min="16" max="16" width="13.421875" style="0" customWidth="1"/>
    <col min="17" max="17" width="15.57421875" style="0" customWidth="1"/>
  </cols>
  <sheetData>
    <row r="1" ht="12.75">
      <c r="A1" s="3" t="s">
        <v>33</v>
      </c>
    </row>
    <row r="2" spans="5:11" ht="12.75">
      <c r="E2" s="71" t="s">
        <v>20</v>
      </c>
      <c r="F2" s="72"/>
      <c r="H2" s="70" t="s">
        <v>23</v>
      </c>
      <c r="I2" s="70"/>
      <c r="J2" s="71" t="s">
        <v>24</v>
      </c>
      <c r="K2" s="72"/>
    </row>
    <row r="3" spans="1:17" ht="63.75">
      <c r="A3" s="1" t="s">
        <v>0</v>
      </c>
      <c r="B3" s="2" t="s">
        <v>1</v>
      </c>
      <c r="C3" s="1" t="s">
        <v>2</v>
      </c>
      <c r="D3" s="2" t="s">
        <v>17</v>
      </c>
      <c r="E3" s="14" t="s">
        <v>19</v>
      </c>
      <c r="F3" s="13" t="s">
        <v>21</v>
      </c>
      <c r="G3" s="29" t="s">
        <v>22</v>
      </c>
      <c r="H3" s="14" t="s">
        <v>18</v>
      </c>
      <c r="I3" s="1"/>
      <c r="J3" s="17" t="s">
        <v>25</v>
      </c>
      <c r="K3" s="10" t="s">
        <v>26</v>
      </c>
      <c r="L3" s="1" t="s">
        <v>27</v>
      </c>
      <c r="M3" s="1" t="s">
        <v>28</v>
      </c>
      <c r="N3" s="7" t="s">
        <v>29</v>
      </c>
      <c r="O3" s="1" t="s">
        <v>30</v>
      </c>
      <c r="P3" s="23" t="s">
        <v>31</v>
      </c>
      <c r="Q3" s="23" t="s">
        <v>32</v>
      </c>
    </row>
    <row r="4" spans="1:17" ht="12.75">
      <c r="A4" s="1" t="s">
        <v>3</v>
      </c>
      <c r="B4" s="4"/>
      <c r="C4" s="5"/>
      <c r="D4" s="4"/>
      <c r="E4" s="4"/>
      <c r="F4" s="5"/>
      <c r="G4" s="30"/>
      <c r="H4" s="4"/>
      <c r="I4" s="5"/>
      <c r="J4" s="5"/>
      <c r="K4" s="18"/>
      <c r="L4" s="1"/>
      <c r="M4" s="1"/>
      <c r="N4" s="1"/>
      <c r="O4" s="1"/>
      <c r="P4" s="1"/>
      <c r="Q4" s="1"/>
    </row>
    <row r="5" spans="1:17" ht="12.75">
      <c r="A5" s="1" t="s">
        <v>8</v>
      </c>
      <c r="B5" s="4">
        <v>37094066.96</v>
      </c>
      <c r="C5" s="4">
        <v>6182344.49</v>
      </c>
      <c r="D5" s="4">
        <f>B5*D25/100</f>
        <v>22958557.58422352</v>
      </c>
      <c r="E5" s="5">
        <f>D5/4</f>
        <v>5739639.39605588</v>
      </c>
      <c r="F5" s="15">
        <f>E5/1.4626/1500</f>
        <v>2616.1809544901225</v>
      </c>
      <c r="G5" s="31">
        <v>2818</v>
      </c>
      <c r="H5" s="5">
        <f>D5/3.84+203553.45</f>
        <v>6182344.487558208</v>
      </c>
      <c r="I5" s="5">
        <v>2818</v>
      </c>
      <c r="J5" s="5">
        <v>2818</v>
      </c>
      <c r="K5" s="19">
        <v>6182344</v>
      </c>
      <c r="L5" s="5"/>
      <c r="M5" s="5"/>
      <c r="N5" s="5"/>
      <c r="O5" s="5"/>
      <c r="P5" s="5"/>
      <c r="Q5" s="1"/>
    </row>
    <row r="6" spans="1:17" ht="12.75">
      <c r="A6" s="1" t="s">
        <v>9</v>
      </c>
      <c r="B6" s="4">
        <v>20374966.4</v>
      </c>
      <c r="C6" s="4">
        <v>3395827.73</v>
      </c>
      <c r="D6" s="4">
        <f>B6*D25/100</f>
        <v>12610637.703205876</v>
      </c>
      <c r="E6" s="5">
        <f>D6/4</f>
        <v>3152659.425801469</v>
      </c>
      <c r="F6" s="15"/>
      <c r="G6" s="31"/>
      <c r="H6" s="5">
        <f>D6/3.84-203553.45</f>
        <v>3080466.7852098634</v>
      </c>
      <c r="I6" s="5"/>
      <c r="J6" s="5"/>
      <c r="K6" s="19">
        <v>3002173.85</v>
      </c>
      <c r="L6" s="5"/>
      <c r="M6" s="5"/>
      <c r="N6" s="5"/>
      <c r="O6" s="5"/>
      <c r="P6" s="5"/>
      <c r="Q6" s="1"/>
    </row>
    <row r="7" spans="1:17" ht="12.75">
      <c r="A7" s="1" t="s">
        <v>10</v>
      </c>
      <c r="B7" s="4">
        <v>565488</v>
      </c>
      <c r="C7" s="4">
        <v>94248</v>
      </c>
      <c r="D7" s="4">
        <f>B7*D25/100</f>
        <v>349996.370718456</v>
      </c>
      <c r="E7" s="5">
        <f>D7/4</f>
        <v>87499.092679614</v>
      </c>
      <c r="F7" s="15"/>
      <c r="G7" s="31"/>
      <c r="H7" s="5">
        <f>D7/3.84</f>
        <v>91144.88820793125</v>
      </c>
      <c r="I7" s="5"/>
      <c r="J7" s="5"/>
      <c r="K7" s="19">
        <v>95426.1</v>
      </c>
      <c r="L7" s="5"/>
      <c r="M7" s="5"/>
      <c r="N7" s="5"/>
      <c r="O7" s="5"/>
      <c r="P7" s="5"/>
      <c r="Q7" s="1"/>
    </row>
    <row r="8" spans="1:17" ht="12.75">
      <c r="A8" s="1" t="s">
        <v>11</v>
      </c>
      <c r="B8" s="4">
        <v>1219872</v>
      </c>
      <c r="C8" s="4">
        <v>203312</v>
      </c>
      <c r="D8" s="4">
        <f>B8*D25/100</f>
        <v>755012.967102864</v>
      </c>
      <c r="E8" s="5">
        <f>D8/4</f>
        <v>188753.241775716</v>
      </c>
      <c r="F8" s="15"/>
      <c r="G8" s="31"/>
      <c r="H8" s="5">
        <f>D8/3.84</f>
        <v>196617.9601830375</v>
      </c>
      <c r="I8" s="5"/>
      <c r="J8" s="5"/>
      <c r="K8" s="19">
        <v>203312</v>
      </c>
      <c r="L8" s="5"/>
      <c r="M8" s="5"/>
      <c r="N8" s="5"/>
      <c r="O8" s="5"/>
      <c r="P8" s="5"/>
      <c r="Q8" s="1"/>
    </row>
    <row r="9" spans="1:17" ht="25.5">
      <c r="A9" s="14" t="s">
        <v>12</v>
      </c>
      <c r="B9" s="9">
        <f>SUM(B5:B8)</f>
        <v>59254393.36</v>
      </c>
      <c r="C9" s="8">
        <f>SUM(C5:C8)</f>
        <v>9875732.22</v>
      </c>
      <c r="D9" s="9">
        <f>SUM(D5:D8)</f>
        <v>36674204.62525071</v>
      </c>
      <c r="E9" s="8">
        <f>D9/4</f>
        <v>9168551.156312678</v>
      </c>
      <c r="F9" s="15"/>
      <c r="G9" s="31"/>
      <c r="H9" s="8">
        <f>SUM(H5:H8)</f>
        <v>9550574.121159041</v>
      </c>
      <c r="I9" s="5"/>
      <c r="J9" s="5"/>
      <c r="K9" s="20">
        <f>SUM(K5:K8)</f>
        <v>9483255.95</v>
      </c>
      <c r="L9" s="11">
        <f>K9*L27/100</f>
        <v>9168021.52127012</v>
      </c>
      <c r="M9" s="11">
        <f>K9*M27/100</f>
        <v>8852787.092540242</v>
      </c>
      <c r="N9" s="8">
        <f>K9+L9+M9</f>
        <v>27504064.563810363</v>
      </c>
      <c r="O9" s="5">
        <v>9168021.52</v>
      </c>
      <c r="P9" s="8">
        <v>56285081.4</v>
      </c>
      <c r="Q9" s="8">
        <f>N9+O9+P9</f>
        <v>92957167.48381037</v>
      </c>
    </row>
    <row r="10" spans="1:17" ht="12.75">
      <c r="A10" s="2" t="s">
        <v>4</v>
      </c>
      <c r="B10" s="5"/>
      <c r="C10" s="5"/>
      <c r="D10" s="5"/>
      <c r="E10" s="5"/>
      <c r="F10" s="15"/>
      <c r="G10" s="31"/>
      <c r="H10" s="5"/>
      <c r="I10" s="5"/>
      <c r="J10" s="5"/>
      <c r="K10" s="19"/>
      <c r="L10" s="11"/>
      <c r="M10" s="11"/>
      <c r="N10" s="8"/>
      <c r="O10" s="5"/>
      <c r="P10" s="8"/>
      <c r="Q10" s="7"/>
    </row>
    <row r="11" spans="1:17" ht="12.75">
      <c r="A11" s="1" t="s">
        <v>13</v>
      </c>
      <c r="B11" s="5">
        <v>4626825.41</v>
      </c>
      <c r="C11" s="5">
        <v>771137.57</v>
      </c>
      <c r="D11" s="5">
        <f>B11*D25/100</f>
        <v>2863671.9107177025</v>
      </c>
      <c r="E11" s="5">
        <f>D11/4</f>
        <v>715917.9776794256</v>
      </c>
      <c r="F11" s="15">
        <f>E11/1.1914/1475</f>
        <v>407.39308415362393</v>
      </c>
      <c r="G11" s="31">
        <v>439</v>
      </c>
      <c r="H11" s="5">
        <f>D11/3.84</f>
        <v>745747.8934160684</v>
      </c>
      <c r="I11" s="15">
        <f>H11/1.1914/1475</f>
        <v>424.36779599335824</v>
      </c>
      <c r="J11" s="5">
        <v>439</v>
      </c>
      <c r="K11" s="19">
        <v>771138</v>
      </c>
      <c r="L11" s="11"/>
      <c r="M11" s="11"/>
      <c r="N11" s="8"/>
      <c r="O11" s="5"/>
      <c r="P11" s="8"/>
      <c r="Q11" s="7"/>
    </row>
    <row r="12" spans="1:17" ht="12.75">
      <c r="A12" s="1" t="s">
        <v>9</v>
      </c>
      <c r="B12" s="5">
        <v>1797438.4</v>
      </c>
      <c r="C12" s="5">
        <v>299573.07</v>
      </c>
      <c r="D12" s="5">
        <f>B12*D25/100</f>
        <v>1112484.9980724407</v>
      </c>
      <c r="E12" s="5">
        <f aca="true" t="shared" si="0" ref="E12:E24">D12/4</f>
        <v>278121.2495181102</v>
      </c>
      <c r="F12" s="15"/>
      <c r="G12" s="31">
        <v>560</v>
      </c>
      <c r="H12" s="5">
        <f>D12/3.84</f>
        <v>289709.63491469814</v>
      </c>
      <c r="I12" s="15"/>
      <c r="J12" s="5">
        <v>131</v>
      </c>
      <c r="K12" s="19">
        <v>313445.26</v>
      </c>
      <c r="L12" s="11"/>
      <c r="M12" s="11"/>
      <c r="N12" s="8"/>
      <c r="O12" s="5"/>
      <c r="P12" s="8"/>
      <c r="Q12" s="7"/>
    </row>
    <row r="13" spans="1:17" ht="12.75">
      <c r="A13" s="1" t="s">
        <v>11</v>
      </c>
      <c r="B13" s="5">
        <v>744000</v>
      </c>
      <c r="C13" s="5">
        <v>124000</v>
      </c>
      <c r="D13" s="5">
        <f>B13*D25/100</f>
        <v>460482.450228</v>
      </c>
      <c r="E13" s="5">
        <f t="shared" si="0"/>
        <v>115120.612557</v>
      </c>
      <c r="F13" s="15"/>
      <c r="G13" s="31"/>
      <c r="H13" s="5">
        <f>D13/3.84</f>
        <v>119917.304746875</v>
      </c>
      <c r="I13" s="15"/>
      <c r="J13" s="5"/>
      <c r="K13" s="19">
        <v>124999</v>
      </c>
      <c r="L13" s="11"/>
      <c r="M13" s="11"/>
      <c r="N13" s="8"/>
      <c r="O13" s="5"/>
      <c r="P13" s="8"/>
      <c r="Q13" s="7"/>
    </row>
    <row r="14" spans="1:17" ht="12.75">
      <c r="A14" s="7" t="s">
        <v>14</v>
      </c>
      <c r="B14" s="8">
        <f>SUM(B11:B13)</f>
        <v>7168263.8100000005</v>
      </c>
      <c r="C14" s="8">
        <f>SUM(C11:C13)</f>
        <v>1194710.64</v>
      </c>
      <c r="D14" s="8">
        <f>SUM(D11:D13)</f>
        <v>4436639.359018143</v>
      </c>
      <c r="E14" s="8">
        <f t="shared" si="0"/>
        <v>1109159.8397545358</v>
      </c>
      <c r="F14" s="15"/>
      <c r="G14" s="31"/>
      <c r="H14" s="8">
        <f>SUM(H11:H13)</f>
        <v>1155374.8330776417</v>
      </c>
      <c r="I14" s="15"/>
      <c r="J14" s="5"/>
      <c r="K14" s="20">
        <f>SUM(K11:K13)</f>
        <v>1209582.26</v>
      </c>
      <c r="L14" s="11">
        <f>K14*L27/100</f>
        <v>1169374.3425143503</v>
      </c>
      <c r="M14" s="11">
        <f>K14*M27/100</f>
        <v>1129166.4250287008</v>
      </c>
      <c r="N14" s="8">
        <f>K14+L14+M14</f>
        <v>3508123.027543051</v>
      </c>
      <c r="O14" s="5">
        <v>1169374.34</v>
      </c>
      <c r="P14" s="8">
        <v>7905695.79</v>
      </c>
      <c r="Q14" s="8">
        <f>N14+O14+P14</f>
        <v>12583193.157543052</v>
      </c>
    </row>
    <row r="15" spans="1:17" ht="12.75">
      <c r="A15" s="1" t="s">
        <v>5</v>
      </c>
      <c r="B15" s="5"/>
      <c r="C15" s="5"/>
      <c r="D15" s="5"/>
      <c r="E15" s="5"/>
      <c r="F15" s="15"/>
      <c r="G15" s="31"/>
      <c r="H15" s="5"/>
      <c r="I15" s="15"/>
      <c r="J15" s="5"/>
      <c r="K15" s="19"/>
      <c r="L15" s="11"/>
      <c r="M15" s="11"/>
      <c r="N15" s="8"/>
      <c r="O15" s="5"/>
      <c r="P15" s="8"/>
      <c r="Q15" s="7"/>
    </row>
    <row r="16" spans="1:17" ht="12.75">
      <c r="A16" s="1" t="s">
        <v>13</v>
      </c>
      <c r="B16" s="5">
        <v>4546359.29</v>
      </c>
      <c r="C16" s="5">
        <v>757726.55</v>
      </c>
      <c r="D16" s="5">
        <f>B16*D25/100</f>
        <v>2813869.174026923</v>
      </c>
      <c r="E16" s="5">
        <f t="shared" si="0"/>
        <v>703467.2935067307</v>
      </c>
      <c r="F16" s="15">
        <f>E16/1.0524/1475</f>
        <v>453.180329388665</v>
      </c>
      <c r="G16" s="31">
        <v>488</v>
      </c>
      <c r="H16" s="5">
        <f>D16/3.84</f>
        <v>732778.4307361778</v>
      </c>
      <c r="I16" s="15">
        <f>H16/1.0524/1475</f>
        <v>472.0628431131927</v>
      </c>
      <c r="J16" s="5">
        <v>430</v>
      </c>
      <c r="K16" s="19">
        <v>667496.5</v>
      </c>
      <c r="L16" s="11"/>
      <c r="M16" s="11"/>
      <c r="N16" s="8"/>
      <c r="O16" s="5"/>
      <c r="P16" s="8"/>
      <c r="Q16" s="7"/>
    </row>
    <row r="17" spans="1:17" ht="12.75">
      <c r="A17" s="1" t="s">
        <v>11</v>
      </c>
      <c r="B17" s="5">
        <v>435108</v>
      </c>
      <c r="C17" s="5">
        <v>72518</v>
      </c>
      <c r="D17" s="5">
        <f>B17*D25/100</f>
        <v>269300.534884146</v>
      </c>
      <c r="E17" s="5">
        <f t="shared" si="0"/>
        <v>67325.1337210365</v>
      </c>
      <c r="F17" s="15"/>
      <c r="G17" s="31"/>
      <c r="H17" s="5">
        <f>D17/3.84</f>
        <v>70130.34762607969</v>
      </c>
      <c r="I17" s="15"/>
      <c r="J17" s="5"/>
      <c r="K17" s="19">
        <v>72518</v>
      </c>
      <c r="L17" s="11"/>
      <c r="M17" s="11"/>
      <c r="N17" s="8"/>
      <c r="O17" s="5"/>
      <c r="P17" s="8"/>
      <c r="Q17" s="7"/>
    </row>
    <row r="18" spans="1:17" ht="12.75">
      <c r="A18" s="7" t="s">
        <v>15</v>
      </c>
      <c r="B18" s="8">
        <f>SUM(B16:B17)</f>
        <v>4981467.29</v>
      </c>
      <c r="C18" s="8">
        <f>SUM(C16:C17)</f>
        <v>830244.55</v>
      </c>
      <c r="D18" s="8">
        <f>SUM(D16:D17)</f>
        <v>3083169.7089110687</v>
      </c>
      <c r="E18" s="8">
        <f t="shared" si="0"/>
        <v>770792.4272277672</v>
      </c>
      <c r="F18" s="15"/>
      <c r="G18" s="31"/>
      <c r="H18" s="8">
        <f>SUM(H16:H17)</f>
        <v>802908.7783622575</v>
      </c>
      <c r="I18" s="15"/>
      <c r="J18" s="5"/>
      <c r="K18" s="20">
        <f>SUM(K16:K17)</f>
        <v>740014.5</v>
      </c>
      <c r="L18" s="11">
        <f>K18*L27/100</f>
        <v>715415.5595739192</v>
      </c>
      <c r="M18" s="11">
        <f>K18*M27/100</f>
        <v>690816.6191478383</v>
      </c>
      <c r="N18" s="8">
        <f>K18+L18+M18</f>
        <v>2146246.6787217576</v>
      </c>
      <c r="O18" s="5">
        <v>715415.56</v>
      </c>
      <c r="P18" s="8">
        <v>4327145.75</v>
      </c>
      <c r="Q18" s="8">
        <f>N18+O18+P18</f>
        <v>7188807.988721758</v>
      </c>
    </row>
    <row r="19" spans="1:17" ht="12.75">
      <c r="A19" s="1" t="s">
        <v>6</v>
      </c>
      <c r="B19" s="5"/>
      <c r="C19" s="5"/>
      <c r="D19" s="5"/>
      <c r="E19" s="5"/>
      <c r="F19" s="15"/>
      <c r="G19" s="31"/>
      <c r="H19" s="5"/>
      <c r="I19" s="15"/>
      <c r="J19" s="5"/>
      <c r="K19" s="19"/>
      <c r="L19" s="11"/>
      <c r="M19" s="11"/>
      <c r="N19" s="8"/>
      <c r="O19" s="5"/>
      <c r="P19" s="8"/>
      <c r="Q19" s="7"/>
    </row>
    <row r="20" spans="1:17" ht="12.75">
      <c r="A20" s="1" t="s">
        <v>13</v>
      </c>
      <c r="B20" s="5">
        <v>4262505.02</v>
      </c>
      <c r="C20" s="5">
        <v>710294.22</v>
      </c>
      <c r="D20" s="5">
        <f>B20*D25/100</f>
        <v>2638183.811449933</v>
      </c>
      <c r="E20" s="5">
        <f t="shared" si="0"/>
        <v>659545.9528624832</v>
      </c>
      <c r="F20" s="15">
        <f>E20/1.0308/1475</f>
        <v>433.7890944420218</v>
      </c>
      <c r="G20" s="31">
        <v>467</v>
      </c>
      <c r="H20" s="5">
        <f>D20/3.84</f>
        <v>687027.0342317533</v>
      </c>
      <c r="I20" s="15">
        <f>H20/1.0308/1475</f>
        <v>451.86364004377276</v>
      </c>
      <c r="J20" s="5">
        <v>448</v>
      </c>
      <c r="K20" s="19">
        <v>681220.01</v>
      </c>
      <c r="L20" s="11"/>
      <c r="M20" s="11"/>
      <c r="N20" s="8"/>
      <c r="O20" s="5"/>
      <c r="P20" s="8"/>
      <c r="Q20" s="1"/>
    </row>
    <row r="21" spans="1:17" ht="12.75">
      <c r="A21" s="1" t="s">
        <v>9</v>
      </c>
      <c r="B21" s="5">
        <v>1131816</v>
      </c>
      <c r="C21" s="5">
        <v>188636</v>
      </c>
      <c r="D21" s="5">
        <f>B21*D25/100</f>
        <v>700512.6409774921</v>
      </c>
      <c r="E21" s="5">
        <f t="shared" si="0"/>
        <v>175128.16024437302</v>
      </c>
      <c r="F21" s="5"/>
      <c r="G21" s="16"/>
      <c r="H21" s="5">
        <f>D21/3.84</f>
        <v>182425.1669212219</v>
      </c>
      <c r="I21" s="5"/>
      <c r="J21" s="5">
        <v>77</v>
      </c>
      <c r="K21" s="19">
        <f>J21*11.42*202.11</f>
        <v>177723.40740000003</v>
      </c>
      <c r="L21" s="11"/>
      <c r="M21" s="11"/>
      <c r="N21" s="8"/>
      <c r="O21" s="5"/>
      <c r="P21" s="8"/>
      <c r="Q21" s="1"/>
    </row>
    <row r="22" spans="1:17" ht="12.75">
      <c r="A22" s="1" t="s">
        <v>11</v>
      </c>
      <c r="B22" s="5">
        <v>108720</v>
      </c>
      <c r="C22" s="5">
        <v>18120</v>
      </c>
      <c r="D22" s="5">
        <f>B22*D25/100</f>
        <v>67289.85482364</v>
      </c>
      <c r="E22" s="5">
        <f t="shared" si="0"/>
        <v>16822.46370591</v>
      </c>
      <c r="F22" s="5"/>
      <c r="G22" s="16"/>
      <c r="H22" s="5">
        <f>D22/3.84</f>
        <v>17523.39969365625</v>
      </c>
      <c r="I22" s="5"/>
      <c r="J22" s="5"/>
      <c r="K22" s="19">
        <v>17375</v>
      </c>
      <c r="L22" s="11"/>
      <c r="M22" s="11"/>
      <c r="N22" s="8"/>
      <c r="O22" s="5"/>
      <c r="P22" s="8"/>
      <c r="Q22" s="1"/>
    </row>
    <row r="23" spans="1:17" ht="12.75">
      <c r="A23" s="7" t="s">
        <v>16</v>
      </c>
      <c r="B23" s="8">
        <f>SUM(B20:B22)</f>
        <v>5503041.02</v>
      </c>
      <c r="C23" s="8">
        <f>SUM(C20:C22)</f>
        <v>917050.22</v>
      </c>
      <c r="D23" s="8">
        <f>SUM(D20:D22)</f>
        <v>3405986.307251065</v>
      </c>
      <c r="E23" s="8">
        <f t="shared" si="0"/>
        <v>851496.5768127663</v>
      </c>
      <c r="F23" s="5"/>
      <c r="G23" s="16"/>
      <c r="H23" s="8">
        <f>SUM(H20:H22)</f>
        <v>886975.6008466315</v>
      </c>
      <c r="I23" s="5"/>
      <c r="J23" s="5"/>
      <c r="K23" s="20">
        <f>K20+K21+K22</f>
        <v>876318.4174</v>
      </c>
      <c r="L23" s="11">
        <f>K23*L27/100</f>
        <v>847188.5766416094</v>
      </c>
      <c r="M23" s="11">
        <f>K23*M27/100</f>
        <v>818058.7358832188</v>
      </c>
      <c r="N23" s="8">
        <f>K23+L23+M23</f>
        <v>2541565.7299248283</v>
      </c>
      <c r="O23" s="5">
        <v>847188.58</v>
      </c>
      <c r="P23" s="5">
        <v>5116657.87</v>
      </c>
      <c r="Q23" s="8">
        <f>N23+O23+P23</f>
        <v>8505412.179924829</v>
      </c>
    </row>
    <row r="24" spans="1:17" ht="12.75">
      <c r="A24" s="25" t="s">
        <v>7</v>
      </c>
      <c r="B24" s="26">
        <f>B9+B14+B18+B23</f>
        <v>76907165.48</v>
      </c>
      <c r="C24" s="26">
        <f>C9+C14+C18+C23</f>
        <v>12817737.630000003</v>
      </c>
      <c r="D24" s="26">
        <f>D9+D14+D18+D23</f>
        <v>47600000.000430994</v>
      </c>
      <c r="E24" s="26">
        <f t="shared" si="0"/>
        <v>11900000.000107748</v>
      </c>
      <c r="F24" s="27"/>
      <c r="G24" s="27"/>
      <c r="H24" s="26">
        <f>H23+H18+H14+H9</f>
        <v>12395833.333445571</v>
      </c>
      <c r="I24" s="27"/>
      <c r="J24" s="27"/>
      <c r="K24" s="28">
        <f aca="true" t="shared" si="1" ref="K24:Q24">K9+K14+K18+K23</f>
        <v>12309171.1274</v>
      </c>
      <c r="L24" s="26">
        <f t="shared" si="1"/>
        <v>11900000</v>
      </c>
      <c r="M24" s="26">
        <f t="shared" si="1"/>
        <v>11490828.8726</v>
      </c>
      <c r="N24" s="26">
        <f t="shared" si="1"/>
        <v>35700000</v>
      </c>
      <c r="O24" s="26">
        <f t="shared" si="1"/>
        <v>11900000</v>
      </c>
      <c r="P24" s="26">
        <f t="shared" si="1"/>
        <v>73634580.81</v>
      </c>
      <c r="Q24" s="26">
        <f t="shared" si="1"/>
        <v>121234580.81</v>
      </c>
    </row>
    <row r="25" spans="2:17" ht="12.75">
      <c r="B25" s="6"/>
      <c r="C25" s="6"/>
      <c r="D25" s="12">
        <v>61.89280245</v>
      </c>
      <c r="E25" s="6"/>
      <c r="F25" s="6"/>
      <c r="G25" s="6"/>
      <c r="H25" s="6"/>
      <c r="I25" s="6"/>
      <c r="J25" s="6"/>
      <c r="L25" s="21">
        <v>11900000</v>
      </c>
      <c r="M25" s="21">
        <f>N25-L25-K24</f>
        <v>11490828.8726</v>
      </c>
      <c r="N25" s="22">
        <v>35700000</v>
      </c>
      <c r="O25" s="21">
        <v>11900000</v>
      </c>
      <c r="P25" s="22">
        <v>73635500</v>
      </c>
      <c r="Q25" s="22">
        <f>N25+O25+P25</f>
        <v>121235500</v>
      </c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>
        <f>K24/N25*100</f>
        <v>34.479470945098036</v>
      </c>
      <c r="L26">
        <f>L25/N25*100</f>
        <v>33.33333333333333</v>
      </c>
      <c r="M26">
        <f>M25/N25*100</f>
        <v>32.18719572156863</v>
      </c>
      <c r="N26">
        <f>K26+L26+M26</f>
        <v>100</v>
      </c>
    </row>
    <row r="27" spans="2:13" ht="12.75">
      <c r="B27" s="6"/>
      <c r="C27" s="6"/>
      <c r="D27" s="6"/>
      <c r="E27" s="6"/>
      <c r="F27" s="6"/>
      <c r="G27" s="6"/>
      <c r="H27" s="6"/>
      <c r="I27" s="6"/>
      <c r="J27" s="6"/>
      <c r="L27" s="24">
        <f>L25/K24*100</f>
        <v>96.67588399604591</v>
      </c>
      <c r="M27">
        <f>M25/K24*100</f>
        <v>93.35176799209182</v>
      </c>
    </row>
    <row r="28" spans="2:10" ht="12.75">
      <c r="B28" s="6"/>
      <c r="C28" s="6"/>
      <c r="D28" s="6"/>
      <c r="E28" s="6"/>
      <c r="F28" s="6"/>
      <c r="G28" s="6"/>
      <c r="H28" s="6"/>
      <c r="I28" s="6"/>
      <c r="J28" s="6"/>
    </row>
    <row r="29" spans="2:10" ht="12.75">
      <c r="B29" s="6"/>
      <c r="C29" s="6"/>
      <c r="D29" s="6"/>
      <c r="E29" s="6"/>
      <c r="F29" s="6"/>
      <c r="G29" s="6"/>
      <c r="H29" s="6"/>
      <c r="I29" s="6"/>
      <c r="J29" s="6"/>
    </row>
    <row r="30" spans="2:10" ht="12.75">
      <c r="B30" s="6"/>
      <c r="C30" s="6"/>
      <c r="D30" s="6"/>
      <c r="E30" s="6"/>
      <c r="F30" s="6"/>
      <c r="G30" s="6"/>
      <c r="H30" s="6"/>
      <c r="I30" s="6"/>
      <c r="J30" s="6"/>
    </row>
  </sheetData>
  <sheetProtection/>
  <mergeCells count="3">
    <mergeCell ref="E2:F2"/>
    <mergeCell ref="H2:I2"/>
    <mergeCell ref="J2:K2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2023-06-29T07:55:30Z</cp:lastPrinted>
  <dcterms:created xsi:type="dcterms:W3CDTF">2020-07-01T08:45:26Z</dcterms:created>
  <dcterms:modified xsi:type="dcterms:W3CDTF">2023-07-04T11:53:27Z</dcterms:modified>
  <cp:category/>
  <cp:version/>
  <cp:contentType/>
  <cp:contentStatus/>
</cp:coreProperties>
</file>